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64" windowHeight="7284" activeTab="0"/>
  </bookViews>
  <sheets>
    <sheet name="Min Distributio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<sst xmlns="http://schemas.openxmlformats.org/spreadsheetml/2006/main" count="17" uniqueCount="17">
  <si>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April 1,</t>
  </si>
  <si>
    <t>IRA Minimum Distribution Withdrawals - IRS Form 590, Table III</t>
  </si>
  <si>
    <t xml:space="preserve">IRA Account Identification: </t>
  </si>
  <si>
    <t>WCU 197702321</t>
  </si>
  <si>
    <t>Based on Example 1, Page 29-30</t>
  </si>
  <si>
    <t>Withdraw by Required Beginning Date</t>
  </si>
  <si>
    <t>Period</t>
  </si>
  <si>
    <t>Age</t>
  </si>
  <si>
    <t>(Dec 31)</t>
  </si>
  <si>
    <t>(1)</t>
  </si>
  <si>
    <t>(1) Interest calculation is based on a Jan 1 withdrawal</t>
  </si>
  <si>
    <t xml:space="preserve">Assume 5%/yr interest growth </t>
  </si>
  <si>
    <t>Required Beginning Date for Withdrawal</t>
  </si>
  <si>
    <t>Date of Birth</t>
  </si>
  <si>
    <t>Distribution</t>
  </si>
  <si>
    <t xml:space="preserve">*Red numbers can be changed--they are not protected. No password is required to unprotect worksheet. </t>
  </si>
  <si>
    <t>Year in which you are 70 1/2: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</si>
</sst>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\ d\,\ yyyy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" fontId="2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5.57421875" style="0" customWidth="1"/>
    <col min="3" max="3" width="11.7109375" style="0" customWidth="1"/>
    <col min="4" max="4" width="9.00390625" style="0" customWidth="1"/>
    <col min="5" max="5" width="8.7109375" style="0" customWidth="1"/>
    <col min="6" max="6" width="11.7109375" style="0" customWidth="1"/>
    <col min="7" max="7" width="2.28125" style="0" customWidth="1"/>
  </cols>
  <sheetData>
    <row r="1" spans="2:11" ht="12.75">
      <c r="B1" s="17" t="s">
        <v>1</v>
      </c>
      <c r="C1" s="17"/>
      <c r="D1" s="17"/>
      <c r="E1" s="17"/>
      <c r="F1" s="17"/>
      <c r="G1" s="1"/>
      <c r="H1" s="1"/>
      <c r="I1" s="1"/>
      <c r="J1" s="1"/>
      <c r="K1" s="1"/>
    </row>
    <row r="2" spans="2:11" ht="12.75">
      <c r="B2" s="18" t="s">
        <v>4</v>
      </c>
      <c r="C2" s="18"/>
      <c r="D2" s="18"/>
      <c r="E2" s="18"/>
      <c r="F2" s="18"/>
      <c r="G2" s="1"/>
      <c r="H2" s="1"/>
      <c r="I2" s="1"/>
      <c r="J2" s="1"/>
      <c r="K2" s="1"/>
    </row>
    <row r="3" spans="2:11" ht="12.75">
      <c r="B3" s="5" t="s">
        <v>2</v>
      </c>
      <c r="C3" s="19" t="s">
        <v>3</v>
      </c>
      <c r="D3" s="19"/>
      <c r="E3" s="1"/>
      <c r="F3" s="1"/>
      <c r="G3" s="1"/>
      <c r="H3" s="1"/>
      <c r="I3" s="1"/>
      <c r="J3" s="1"/>
      <c r="K3" s="1"/>
    </row>
    <row r="4" spans="3:6" ht="12.75">
      <c r="C4" s="18" t="s">
        <v>11</v>
      </c>
      <c r="D4" s="18"/>
      <c r="F4" s="7" t="s">
        <v>13</v>
      </c>
    </row>
    <row r="5" spans="2:6" ht="12.75">
      <c r="B5" s="5" t="s">
        <v>16</v>
      </c>
      <c r="C5" s="15">
        <v>2011</v>
      </c>
      <c r="F5" s="7" t="str">
        <f>C5-71&amp;" or "&amp;C5-70</f>
        <v>1940 or 1941</v>
      </c>
    </row>
    <row r="7" spans="2:3" ht="12.75">
      <c r="B7" t="str">
        <f>"Amount in this IRA Account on December 31, "&amp;C5-1</f>
        <v>Amount in this IRA Account on December 31, 2010</v>
      </c>
      <c r="C7" s="12">
        <v>10000</v>
      </c>
    </row>
    <row r="8" spans="5:6" ht="12.75">
      <c r="E8" s="8" t="s">
        <v>7</v>
      </c>
      <c r="F8" s="11" t="s">
        <v>14</v>
      </c>
    </row>
    <row r="9" spans="2:6" ht="12.75">
      <c r="B9" s="10" t="s">
        <v>12</v>
      </c>
      <c r="C9" s="13" t="s">
        <v>0</v>
      </c>
      <c r="D9" s="14">
        <f>C5+1</f>
        <v>2012</v>
      </c>
      <c r="E9" s="8" t="s">
        <v>8</v>
      </c>
      <c r="F9" s="11" t="s">
        <v>6</v>
      </c>
    </row>
    <row r="10" spans="2:6" ht="12.75">
      <c r="B10" t="s">
        <v>5</v>
      </c>
      <c r="C10" s="4">
        <f>C7/25.3</f>
        <v>395.25691699604744</v>
      </c>
      <c r="F10" s="6">
        <v>25.3</v>
      </c>
    </row>
    <row r="11" spans="3:6" ht="12.75">
      <c r="C11" s="4"/>
      <c r="F11" s="6"/>
    </row>
    <row r="12" spans="2:6" ht="12.75">
      <c r="B12" t="str">
        <f>"Amount in account on December 31, "&amp;C5</f>
        <v>Amount in account on December 31, 2011</v>
      </c>
      <c r="C12" s="12">
        <f>(C7-C10)*1.05</f>
        <v>10084.98023715415</v>
      </c>
      <c r="D12" s="9" t="s">
        <v>9</v>
      </c>
      <c r="F12" s="6"/>
    </row>
    <row r="13" spans="2:6" ht="12.75">
      <c r="B13" t="str">
        <f>"Withdraw by December 31, "&amp;C5+1</f>
        <v>Withdraw by December 31, 2012</v>
      </c>
      <c r="C13" s="3">
        <f>(C12-C10)/24.4</f>
        <v>397.11980820320093</v>
      </c>
      <c r="E13">
        <v>71</v>
      </c>
      <c r="F13" s="6">
        <v>24.4</v>
      </c>
    </row>
    <row r="14" spans="2:6" ht="12.75">
      <c r="B14" t="str">
        <f>"Amount in account on December 31, "&amp;C5+1</f>
        <v>Amount in account on December 31, 2012</v>
      </c>
      <c r="C14" s="12">
        <f>(C12-C13)*1.05</f>
        <v>10172.253450398497</v>
      </c>
      <c r="F14" s="6"/>
    </row>
    <row r="15" spans="2:6" ht="12.75">
      <c r="B15" t="str">
        <f>"Withdraw by December 31, "&amp;C5+2</f>
        <v>Withdraw by December 31, 2013</v>
      </c>
      <c r="C15" s="3">
        <f>(C14-C13)/23.5</f>
        <v>415.96313371043817</v>
      </c>
      <c r="E15">
        <v>72</v>
      </c>
      <c r="F15" s="6">
        <v>23.5</v>
      </c>
    </row>
    <row r="16" spans="2:6" ht="12.75">
      <c r="B16" t="str">
        <f>"Amount in account on December 31, "&amp;C5+2</f>
        <v>Amount in account on December 31, 2013</v>
      </c>
      <c r="C16" s="12">
        <f>(C14-C15)*1.05</f>
        <v>10244.104832522462</v>
      </c>
      <c r="F16" s="6"/>
    </row>
    <row r="17" spans="2:6" ht="12.75">
      <c r="B17" t="str">
        <f>"Withdraw by December 31, "&amp;C5+3</f>
        <v>Withdraw by December 31, 2014</v>
      </c>
      <c r="C17" s="3">
        <f>(C16-C15)/22.7</f>
        <v>432.95778408863544</v>
      </c>
      <c r="E17">
        <v>73</v>
      </c>
      <c r="F17" s="6">
        <v>22.7</v>
      </c>
    </row>
    <row r="18" spans="2:6" ht="12.75">
      <c r="B18" t="str">
        <f>"Amount in account on December 31, "&amp;C5+3</f>
        <v>Amount in account on December 31, 2014</v>
      </c>
      <c r="C18" s="12">
        <f>(C16-C17)*1.05</f>
        <v>10301.704400855519</v>
      </c>
      <c r="F18" s="6"/>
    </row>
    <row r="19" spans="2:6" ht="12.75">
      <c r="B19" t="str">
        <f>"Withdraw by December 31, "&amp;C5+4</f>
        <v>Withdraw by December 31, 2015</v>
      </c>
      <c r="C19" s="3">
        <f>(C18-C17)/21.8</f>
        <v>452.69479893426063</v>
      </c>
      <c r="E19">
        <v>74</v>
      </c>
      <c r="F19" s="6">
        <v>21.8</v>
      </c>
    </row>
    <row r="20" spans="2:6" ht="12.75">
      <c r="B20" t="str">
        <f>"Amount in account on December 31, "&amp;C5+4</f>
        <v>Amount in account on December 31, 2015</v>
      </c>
      <c r="C20" s="12">
        <f>(C18-C19)*1.05</f>
        <v>10341.460082017322</v>
      </c>
      <c r="F20" s="6"/>
    </row>
    <row r="21" spans="2:6" ht="12.75">
      <c r="B21" t="str">
        <f>"Withdraw by December 31, "&amp;C5+5</f>
        <v>Withdraw by December 31, 2016</v>
      </c>
      <c r="C21" s="3">
        <f>(C20-C19)/20.9</f>
        <v>473.14666426234743</v>
      </c>
      <c r="E21">
        <v>75</v>
      </c>
      <c r="F21" s="6">
        <v>20.9</v>
      </c>
    </row>
    <row r="22" spans="2:6" ht="12.75">
      <c r="B22" t="str">
        <f>"Amount in account on December 31, "&amp;C5+5</f>
        <v>Amount in account on December 31, 2016</v>
      </c>
      <c r="C22" s="12">
        <f>(C20-C21)*1.05</f>
        <v>10361.729088642724</v>
      </c>
      <c r="F22" s="6"/>
    </row>
    <row r="23" spans="2:6" ht="12.75">
      <c r="B23" t="str">
        <f>"Withdraw by December 31, "&amp;C5+6</f>
        <v>Withdraw by December 31, 2017</v>
      </c>
      <c r="C23" s="3">
        <f>(C22-C21)/20.1</f>
        <v>491.9692748447948</v>
      </c>
      <c r="E23">
        <v>76</v>
      </c>
      <c r="F23" s="6">
        <v>20.1</v>
      </c>
    </row>
    <row r="24" spans="2:6" ht="12.75">
      <c r="B24" t="str">
        <f>"Amount in account on December 31, "&amp;C5+6</f>
        <v>Amount in account on December 31, 2017</v>
      </c>
      <c r="C24" s="12">
        <f>(C22-C23)*1.05</f>
        <v>10363.247804487826</v>
      </c>
      <c r="F24" s="6"/>
    </row>
    <row r="25" spans="2:6" ht="12.75">
      <c r="B25" t="str">
        <f>"Withdraw by December 31, "&amp;C5+7</f>
        <v>Withdraw by December 31, 2018</v>
      </c>
      <c r="C25" s="3">
        <f>(C24-C23)/19.2</f>
        <v>514.1290900855746</v>
      </c>
      <c r="E25">
        <v>77</v>
      </c>
      <c r="F25" s="6">
        <v>19.2</v>
      </c>
    </row>
    <row r="26" spans="2:6" ht="12.75">
      <c r="B26" t="str">
        <f>"Amount in account on December 31, "&amp;C5+7</f>
        <v>Amount in account on December 31, 2018</v>
      </c>
      <c r="C26" s="12">
        <f>(C24-C25)*1.05</f>
        <v>10341.574650122364</v>
      </c>
      <c r="F26" s="6"/>
    </row>
    <row r="27" spans="2:6" ht="12.75">
      <c r="B27" t="str">
        <f>"Withdraw by December 31, "&amp;C5+8</f>
        <v>Withdraw by December 31, 2019</v>
      </c>
      <c r="C27" s="3">
        <f>(C26-C25)/18.4</f>
        <v>534.1003021759125</v>
      </c>
      <c r="E27">
        <v>78</v>
      </c>
      <c r="F27" s="6">
        <v>18.4</v>
      </c>
    </row>
    <row r="28" spans="2:6" ht="12.75">
      <c r="B28" t="str">
        <f>"Amount in account on December 31, "&amp;C5+8</f>
        <v>Amount in account on December 31, 2019</v>
      </c>
      <c r="C28" s="12">
        <f>(C26-C27)*1.05</f>
        <v>10297.848065343775</v>
      </c>
      <c r="F28" s="6"/>
    </row>
    <row r="29" spans="2:6" ht="12.75">
      <c r="B29" t="str">
        <f>"Withdraw by December 31, "&amp;C5+9</f>
        <v>Withdraw by December 31, 2020</v>
      </c>
      <c r="C29" s="3">
        <f>(C28-C27)/17.6</f>
        <v>554.7583956345376</v>
      </c>
      <c r="E29">
        <v>79</v>
      </c>
      <c r="F29" s="6">
        <v>17.6</v>
      </c>
    </row>
    <row r="30" spans="2:6" ht="12.75">
      <c r="B30" t="str">
        <f>"Amount in account on December 31, "&amp;C5+9</f>
        <v>Amount in account on December 31, 2020</v>
      </c>
      <c r="C30" s="12">
        <f>(C28-C29)*1.05</f>
        <v>10230.2441531947</v>
      </c>
      <c r="F30" s="6"/>
    </row>
    <row r="31" spans="2:6" ht="12.75">
      <c r="B31" t="str">
        <f>"Withdraw by December 31, "&amp;C5+10</f>
        <v>Withdraw by December 31, 2021</v>
      </c>
      <c r="C31" s="3">
        <f>(C30-C29)/16.8</f>
        <v>575.9217712833431</v>
      </c>
      <c r="E31">
        <v>80</v>
      </c>
      <c r="F31" s="6">
        <v>16.8</v>
      </c>
    </row>
    <row r="32" spans="2:6" ht="12.75">
      <c r="B32" t="str">
        <f>"Amount in account on December 31, "&amp;C5+10</f>
        <v>Amount in account on December 31, 2021</v>
      </c>
      <c r="C32" s="12">
        <f>(C30-C31)*1.05</f>
        <v>10137.038501006926</v>
      </c>
      <c r="F32" s="6"/>
    </row>
    <row r="33" spans="2:6" ht="12.75">
      <c r="B33" t="str">
        <f>"Withdraw by December 31, "&amp;C5+11</f>
        <v>Withdraw by December 31, 2022</v>
      </c>
      <c r="C33" s="3">
        <f>(C32-C31)/16</f>
        <v>597.5697956077239</v>
      </c>
      <c r="E33">
        <v>81</v>
      </c>
      <c r="F33" s="6">
        <v>16</v>
      </c>
    </row>
    <row r="34" spans="2:6" ht="12.75">
      <c r="B34" t="str">
        <f>"Amount in account on December 31, "&amp;C5+11</f>
        <v>Amount in account on December 31, 2022</v>
      </c>
      <c r="C34" s="12">
        <f>(C32-C33)*1.05</f>
        <v>10016.442140669162</v>
      </c>
      <c r="F34" s="6"/>
    </row>
    <row r="35" spans="2:6" ht="12.75">
      <c r="B35" t="str">
        <f>"Withdraw by December 31, "&amp;C5+12</f>
        <v>Withdraw by December 31, 2023</v>
      </c>
      <c r="C35" s="3">
        <f>(C34-C33)/15.3</f>
        <v>615.612571572643</v>
      </c>
      <c r="E35">
        <v>82</v>
      </c>
      <c r="F35" s="6">
        <v>15.3</v>
      </c>
    </row>
    <row r="36" spans="2:6" ht="12.75">
      <c r="B36" t="str">
        <f>"Amount in account on December 31, "&amp;C5+12</f>
        <v>Amount in account on December 31, 2023</v>
      </c>
      <c r="C36" s="12">
        <f>(C34-C35)*1.05</f>
        <v>9870.871047551345</v>
      </c>
      <c r="F36" s="6"/>
    </row>
    <row r="37" spans="2:6" ht="12.75">
      <c r="B37" t="str">
        <f>"Withdraw by December 31, "&amp;C5+13</f>
        <v>Withdraw by December 31, 2024</v>
      </c>
      <c r="C37" s="3">
        <f>(C36-C35)/14.5</f>
        <v>638.2936879985311</v>
      </c>
      <c r="E37">
        <v>83</v>
      </c>
      <c r="F37" s="6">
        <v>14.5</v>
      </c>
    </row>
    <row r="38" spans="2:6" ht="12.75">
      <c r="B38" t="str">
        <f>"Amount in account on December 31, "&amp;C5+13</f>
        <v>Amount in account on December 31, 2024</v>
      </c>
      <c r="C38" s="12">
        <f>(C36-C37)*1.05</f>
        <v>9694.206227530454</v>
      </c>
      <c r="F38" s="6"/>
    </row>
    <row r="39" spans="2:6" ht="12.75">
      <c r="B39" t="str">
        <f>"Withdraw by December 31, "&amp;C5+14</f>
        <v>Withdraw by December 31, 2025</v>
      </c>
      <c r="C39" s="3">
        <f>(C38-C37)/13.8</f>
        <v>656.2255463428929</v>
      </c>
      <c r="E39">
        <v>84</v>
      </c>
      <c r="F39" s="6">
        <v>13.8</v>
      </c>
    </row>
    <row r="40" spans="2:6" ht="12.75">
      <c r="B40" t="str">
        <f>"Amount in account on December 31, "&amp;C5+14</f>
        <v>Amount in account on December 31, 2025</v>
      </c>
      <c r="C40" s="12">
        <f>(C38-C39)*1.05</f>
        <v>9489.87971524694</v>
      </c>
      <c r="F40" s="6"/>
    </row>
    <row r="41" spans="2:6" ht="12.75">
      <c r="B41" t="str">
        <f>"Withdraw by December 31, "&amp;C5+15</f>
        <v>Withdraw by December 31, 2026</v>
      </c>
      <c r="C41" s="3">
        <f>(C40-C39)/13.3</f>
        <v>664.1845239777477</v>
      </c>
      <c r="E41">
        <v>85</v>
      </c>
      <c r="F41" s="6">
        <v>13.1</v>
      </c>
    </row>
    <row r="42" spans="2:6" ht="12.75">
      <c r="B42" t="str">
        <f>"Amount in account on December 31, "&amp;C5+15</f>
        <v>Amount in account on December 31, 2026</v>
      </c>
      <c r="C42" s="12">
        <f>(C40-C41)*1.05</f>
        <v>9266.97995083265</v>
      </c>
      <c r="F42" s="6"/>
    </row>
    <row r="43" spans="2:6" ht="12.75">
      <c r="B43" t="str">
        <f>"Withdraw by December 31, "&amp;C5+16</f>
        <v>Withdraw by December 31, 2027</v>
      </c>
      <c r="C43" s="3">
        <f>(C42-C41)/12.4</f>
        <v>693.7738247463631</v>
      </c>
      <c r="E43">
        <v>86</v>
      </c>
      <c r="F43" s="6">
        <v>12.4</v>
      </c>
    </row>
    <row r="44" spans="2:6" ht="12.75">
      <c r="B44" t="str">
        <f>"Amount in account on December 31, "&amp;C5+16</f>
        <v>Amount in account on December 31, 2027</v>
      </c>
      <c r="C44" s="12">
        <f>(C42-C43)*1.05</f>
        <v>9001.866432390601</v>
      </c>
      <c r="F44" s="6"/>
    </row>
    <row r="45" spans="2:6" ht="12.75">
      <c r="B45" t="str">
        <f>"Withdraw by December 31, "&amp;C5+17</f>
        <v>Withdraw by December 31, 2028</v>
      </c>
      <c r="C45" s="3">
        <f>(C44-C43)/11.8</f>
        <v>704.0756447156133</v>
      </c>
      <c r="E45">
        <v>87</v>
      </c>
      <c r="F45" s="6">
        <v>11.8</v>
      </c>
    </row>
    <row r="46" spans="2:6" ht="12.75">
      <c r="B46" t="str">
        <f>"Amount in account on December 31, "&amp;C5+17</f>
        <v>Amount in account on December 31, 2028</v>
      </c>
      <c r="C46" s="12">
        <f>(C44-C45)*1.05</f>
        <v>8712.680327058739</v>
      </c>
      <c r="F46" s="6"/>
    </row>
    <row r="47" spans="2:6" ht="12.75">
      <c r="B47" t="str">
        <f>"Withdraw by December 31, "&amp;C5+18</f>
        <v>Withdraw by December 31, 2029</v>
      </c>
      <c r="C47" s="3">
        <f>(C46-C45)/11.1</f>
        <v>721.4959173282095</v>
      </c>
      <c r="E47">
        <v>88</v>
      </c>
      <c r="F47" s="6">
        <v>11.1</v>
      </c>
    </row>
    <row r="48" spans="2:6" ht="12.75">
      <c r="B48" t="str">
        <f>"Amount in account on December 31, "&amp;C5+18</f>
        <v>Amount in account on December 31, 2029</v>
      </c>
      <c r="C48" s="12">
        <f>(C46-C47)*1.05</f>
        <v>8390.743630217055</v>
      </c>
      <c r="F48" s="6"/>
    </row>
    <row r="49" spans="2:6" ht="12.75">
      <c r="B49" t="str">
        <f>"Withdraw by December 31, "&amp;C5+19</f>
        <v>Withdraw by December 31, 2030</v>
      </c>
      <c r="C49" s="3">
        <f>(C48-C47)/10.5</f>
        <v>730.404544084652</v>
      </c>
      <c r="E49">
        <v>89</v>
      </c>
      <c r="F49" s="6">
        <v>10.5</v>
      </c>
    </row>
    <row r="50" spans="2:6" ht="12.75">
      <c r="B50" t="str">
        <f>"Amount in account on December 31, "&amp;C5+19</f>
        <v>Amount in account on December 31, 2030</v>
      </c>
      <c r="C50" s="12">
        <f>(C48-C49)*1.05</f>
        <v>8043.356040439024</v>
      </c>
      <c r="F50" s="6"/>
    </row>
    <row r="51" spans="2:6" ht="12.75">
      <c r="B51" t="str">
        <f>"Withdraw by December 31, "&amp;C5+20</f>
        <v>Withdraw by December 31, 2031</v>
      </c>
      <c r="C51" s="3">
        <f>(C50-C49)/9.9</f>
        <v>738.6819693287243</v>
      </c>
      <c r="E51">
        <v>90</v>
      </c>
      <c r="F51" s="6">
        <v>9.9</v>
      </c>
    </row>
    <row r="52" spans="2:6" ht="12.75">
      <c r="B52" t="str">
        <f>"Amount in account on December 31, "&amp;C5+20</f>
        <v>Amount in account on December 31, 2031</v>
      </c>
      <c r="C52" s="12">
        <f>(C50-C51)*1.05</f>
        <v>7669.907774665815</v>
      </c>
      <c r="F52" s="6"/>
    </row>
    <row r="53" spans="2:6" ht="12.75">
      <c r="B53" t="str">
        <f>"Withdraw by December 31, "&amp;C5+21</f>
        <v>Withdraw by December 31, 2032</v>
      </c>
      <c r="C53" s="3">
        <f>(C52-C51)/9.4</f>
        <v>737.3644473762862</v>
      </c>
      <c r="E53">
        <v>91</v>
      </c>
      <c r="F53" s="6">
        <v>9.4</v>
      </c>
    </row>
    <row r="54" spans="2:6" ht="12.75">
      <c r="B54" t="str">
        <f>"Amount in account on December 31, "&amp;C5+21</f>
        <v>Amount in account on December 31, 2032</v>
      </c>
      <c r="C54" s="12">
        <f>(C52-C53)*1.05</f>
        <v>7279.170493654005</v>
      </c>
      <c r="F54" s="6"/>
    </row>
    <row r="55" spans="2:6" ht="12.75">
      <c r="B55" t="str">
        <f>"Withdraw by December 31, "&amp;C5+22</f>
        <v>Withdraw by December 31, 2033</v>
      </c>
      <c r="C55" s="3">
        <f>(C54-C53)/8.8</f>
        <v>743.3870507133771</v>
      </c>
      <c r="E55">
        <v>92</v>
      </c>
      <c r="F55" s="6">
        <v>8.8</v>
      </c>
    </row>
    <row r="56" spans="2:6" ht="12.75">
      <c r="B56" t="str">
        <f>"Amount in account on December 31, "&amp;C5+22</f>
        <v>Amount in account on December 31, 2033</v>
      </c>
      <c r="C56" s="12">
        <f>(C54-C55)*1.05</f>
        <v>6862.57261508766</v>
      </c>
      <c r="F56" s="6"/>
    </row>
    <row r="57" spans="2:6" ht="12.75">
      <c r="B57" t="str">
        <f>"Withdraw by December 31, "&amp;C5+23</f>
        <v>Withdraw by December 31, 2034</v>
      </c>
      <c r="C57" s="3">
        <f>(C56-C55)/8.3</f>
        <v>737.2512728161786</v>
      </c>
      <c r="E57">
        <v>93</v>
      </c>
      <c r="F57" s="6">
        <v>8.3</v>
      </c>
    </row>
    <row r="58" spans="2:6" ht="12.75">
      <c r="B58" t="str">
        <f>"Amount in account on December 31, "&amp;C5+23</f>
        <v>Amount in account on December 31, 2034</v>
      </c>
      <c r="C58" s="12">
        <f>(C56-C57)*1.05</f>
        <v>6431.587409385056</v>
      </c>
      <c r="F58" s="6"/>
    </row>
    <row r="59" spans="2:6" ht="12.75">
      <c r="B59" t="str">
        <f>"Withdraw by December 31, "&amp;C5+24</f>
        <v>Withdraw by December 31, 2035</v>
      </c>
      <c r="C59" s="3">
        <f>(C58-C57)/7.8</f>
        <v>730.0430944319074</v>
      </c>
      <c r="E59">
        <v>94</v>
      </c>
      <c r="F59" s="6">
        <v>7.8</v>
      </c>
    </row>
    <row r="60" spans="2:6" ht="12.75">
      <c r="B60" t="str">
        <f>"Amount in account on December 31, "&amp;C5+24</f>
        <v>Amount in account on December 31, 2035</v>
      </c>
      <c r="C60" s="12">
        <f>(C58-C59)*1.05</f>
        <v>5986.621530700806</v>
      </c>
      <c r="F60" s="6"/>
    </row>
    <row r="61" spans="2:6" ht="12.75">
      <c r="B61" t="str">
        <f>"Withdraw by December 31, "&amp;C5+25</f>
        <v>Withdraw by December 31, 2036</v>
      </c>
      <c r="C61" s="3">
        <f>(C60-C59)/7.3</f>
        <v>720.0792378450545</v>
      </c>
      <c r="E61">
        <v>95</v>
      </c>
      <c r="F61" s="6">
        <v>7.3</v>
      </c>
    </row>
    <row r="62" spans="2:6" ht="12.75">
      <c r="B62" t="str">
        <f>"Amount in account on December 31, "&amp;C5+25</f>
        <v>Amount in account on December 31, 2036</v>
      </c>
      <c r="C62" s="12">
        <f>(C60-C61)*1.05</f>
        <v>5529.86940749854</v>
      </c>
      <c r="F62" s="6"/>
    </row>
    <row r="63" spans="2:6" ht="12.75">
      <c r="B63" t="str">
        <f>"Withdraw by December 31, "&amp;C5+26</f>
        <v>Withdraw by December 31, 2037</v>
      </c>
      <c r="C63" s="3">
        <f>(C62-C61)/6.9</f>
        <v>697.0710390802152</v>
      </c>
      <c r="E63">
        <v>96</v>
      </c>
      <c r="F63" s="6">
        <v>6.9</v>
      </c>
    </row>
    <row r="64" spans="2:6" ht="12.75">
      <c r="B64" t="str">
        <f>"Amount in account on December 31, "&amp;C5+26</f>
        <v>Amount in account on December 31, 2037</v>
      </c>
      <c r="C64" s="12">
        <f>(C62-C63)*1.05</f>
        <v>5074.438286839241</v>
      </c>
      <c r="F64" s="6"/>
    </row>
    <row r="65" spans="2:6" ht="12.75">
      <c r="B65" t="str">
        <f>"Withdraw by December 31, "&amp;C5+27</f>
        <v>Withdraw by December 31, 2038</v>
      </c>
      <c r="C65" s="3">
        <f>(C64-C63)/6.5</f>
        <v>673.4411150398502</v>
      </c>
      <c r="E65">
        <v>97</v>
      </c>
      <c r="F65" s="6">
        <v>6.5</v>
      </c>
    </row>
    <row r="66" spans="2:6" ht="12.75">
      <c r="B66" t="str">
        <f>"Amount in account on December 31, "&amp;C5+27</f>
        <v>Amount in account on December 31, 2038</v>
      </c>
      <c r="C66" s="12">
        <f>(C64-C65)*1.05</f>
        <v>4621.047030389361</v>
      </c>
      <c r="F66" s="6"/>
    </row>
    <row r="67" spans="2:6" ht="12.75">
      <c r="B67" t="str">
        <f>"Withdraw by December 31, "&amp;C5+28</f>
        <v>Withdraw by December 31, 2039</v>
      </c>
      <c r="C67" s="3">
        <f>(C66-C65)/6.1</f>
        <v>647.1485107130346</v>
      </c>
      <c r="E67">
        <v>98</v>
      </c>
      <c r="F67" s="6">
        <v>6.1</v>
      </c>
    </row>
    <row r="68" spans="2:6" ht="12.75">
      <c r="B68" t="str">
        <f>"Amount in account on December 31, "&amp;C5+28</f>
        <v>Amount in account on December 31, 2039</v>
      </c>
      <c r="C68" s="12">
        <f>(C66-C67)*1.05</f>
        <v>4172.593445660143</v>
      </c>
      <c r="F68" s="6"/>
    </row>
    <row r="69" spans="2:6" ht="12.75">
      <c r="B69" t="str">
        <f>"Withdraw by December 31, "&amp;C5+29</f>
        <v>Withdraw by December 31, 2040</v>
      </c>
      <c r="C69" s="3">
        <f>(C68-C67)/5.7</f>
        <v>618.4991113942294</v>
      </c>
      <c r="E69">
        <v>99</v>
      </c>
      <c r="F69" s="6">
        <v>5.7</v>
      </c>
    </row>
    <row r="70" spans="2:6" ht="12.75">
      <c r="B70" t="str">
        <f>"Amount in account on December 31, "&amp;C5+29</f>
        <v>Amount in account on December 31, 2040</v>
      </c>
      <c r="C70" s="12">
        <f>(C68-C69)*1.05</f>
        <v>3731.799050979209</v>
      </c>
      <c r="F70" s="6"/>
    </row>
    <row r="71" spans="2:6" ht="12.75">
      <c r="B71" t="str">
        <f>"Withdraw by December 31, "&amp;C5+30</f>
        <v>Withdraw by December 31, 2041</v>
      </c>
      <c r="C71" s="3">
        <f>(C70-C69)/5.3</f>
        <v>587.4150829405621</v>
      </c>
      <c r="E71">
        <v>100</v>
      </c>
      <c r="F71" s="6">
        <v>5.3</v>
      </c>
    </row>
    <row r="72" spans="2:6" ht="12.75">
      <c r="B72" t="str">
        <f>"Amount in account on December 31, "&amp;C5+30</f>
        <v>Amount in account on December 31, 2041</v>
      </c>
      <c r="C72" s="12">
        <f>(C70-C71)*1.05</f>
        <v>3301.603166440579</v>
      </c>
      <c r="F72" s="6"/>
    </row>
    <row r="73" spans="2:6" ht="12.75">
      <c r="B73" t="str">
        <f>"Withdraw by December 31, "&amp;C5+31</f>
        <v>Withdraw by December 31, 2042</v>
      </c>
      <c r="C73" s="3">
        <f>(C72-C71)/5</f>
        <v>542.8376167000034</v>
      </c>
      <c r="E73">
        <v>101</v>
      </c>
      <c r="F73" s="6">
        <v>5</v>
      </c>
    </row>
    <row r="74" spans="2:6" ht="12.75">
      <c r="B74" t="str">
        <f>"Amount in account on December 31, "&amp;C5+31</f>
        <v>Amount in account on December 31, 2042</v>
      </c>
      <c r="C74" s="12">
        <f>(C72-C73)*1.05</f>
        <v>2896.7038272276045</v>
      </c>
      <c r="F74" s="6"/>
    </row>
    <row r="75" spans="2:6" ht="12.75">
      <c r="B75" t="str">
        <f>"Withdraw by December 31, "&amp;C5+32</f>
        <v>Withdraw by December 31, 2043</v>
      </c>
      <c r="C75" s="3">
        <f>(C74-C73)/4.7</f>
        <v>500.822597984596</v>
      </c>
      <c r="E75">
        <v>102</v>
      </c>
      <c r="F75" s="6">
        <v>4.7</v>
      </c>
    </row>
    <row r="76" spans="2:6" ht="12.75">
      <c r="B76" t="str">
        <f>"Amount in account on December 31, "&amp;C5+32</f>
        <v>Amount in account on December 31, 2043</v>
      </c>
      <c r="C76" s="12">
        <f>(C74-C75)*1.05</f>
        <v>2515.675290705159</v>
      </c>
      <c r="F76" s="6"/>
    </row>
    <row r="77" spans="2:6" ht="12.75">
      <c r="B77" t="str">
        <f>"Withdraw by December 31, "&amp;C5+33</f>
        <v>Withdraw by December 31, 2044</v>
      </c>
      <c r="C77" s="3">
        <f>(C76-C75)/4.4</f>
        <v>457.9210665274006</v>
      </c>
      <c r="E77">
        <v>103</v>
      </c>
      <c r="F77" s="6">
        <v>4.4</v>
      </c>
    </row>
    <row r="78" spans="2:6" ht="12.75">
      <c r="B78" t="str">
        <f>"Amount in account on December 31, "&amp;C5+33</f>
        <v>Amount in account on December 31, 2044</v>
      </c>
      <c r="C78" s="12">
        <f>(C76-C77)*1.05</f>
        <v>2160.6419353866463</v>
      </c>
      <c r="F78" s="6"/>
    </row>
    <row r="79" spans="2:6" ht="12.75">
      <c r="B79" t="str">
        <f>"Withdraw by December 31, "&amp;C5+34</f>
        <v>Withdraw by December 31, 2045</v>
      </c>
      <c r="C79" s="3">
        <f>(C78-C77)/4.1</f>
        <v>415.297772892499</v>
      </c>
      <c r="E79">
        <v>104</v>
      </c>
      <c r="F79" s="6">
        <v>4.1</v>
      </c>
    </row>
    <row r="80" spans="2:6" ht="12.75">
      <c r="B80" t="str">
        <f>"Amount in account on December 31, "&amp;C5+34</f>
        <v>Amount in account on December 31, 2045</v>
      </c>
      <c r="C80" s="12">
        <f>(C78-C79)*1.05</f>
        <v>1832.6113706188548</v>
      </c>
      <c r="F80" s="6"/>
    </row>
    <row r="81" spans="2:6" ht="12.75">
      <c r="B81" t="str">
        <f>"Withdraw by December 31, "&amp;C5+35</f>
        <v>Withdraw by December 31, 2046</v>
      </c>
      <c r="C81" s="3">
        <f>(C80-C79)/3.8</f>
        <v>372.97726255956735</v>
      </c>
      <c r="E81">
        <v>105</v>
      </c>
      <c r="F81">
        <v>3.8</v>
      </c>
    </row>
    <row r="82" spans="2:3" ht="12.75">
      <c r="B82" t="str">
        <f>"Amount in account on December 31, "&amp;C5+35</f>
        <v>Amount in account on December 31, 2046</v>
      </c>
      <c r="C82" s="12">
        <f>(C80-C81)*1.05</f>
        <v>1532.615813462252</v>
      </c>
    </row>
    <row r="83" spans="2:6" ht="12.75">
      <c r="B83" t="str">
        <f>"Withdraw by December 31, "&amp;C5+36</f>
        <v>Withdraw by December 31, 2047</v>
      </c>
      <c r="C83" s="3">
        <f>(C82-C81)/3.6</f>
        <v>322.12181969519014</v>
      </c>
      <c r="E83">
        <v>106</v>
      </c>
      <c r="F83" s="6">
        <v>3.6</v>
      </c>
    </row>
    <row r="84" spans="2:6" ht="12.75">
      <c r="B84" t="str">
        <f>"Amount in account on December 31, "&amp;C5+36</f>
        <v>Amount in account on December 31, 2047</v>
      </c>
      <c r="C84" s="12">
        <f>(C82-C83)*1.05</f>
        <v>1271.018693455415</v>
      </c>
      <c r="F84" s="6"/>
    </row>
    <row r="85" spans="2:6" ht="12.75">
      <c r="B85" t="str">
        <f>"Withdraw by December 31, "&amp;C5+37</f>
        <v>Withdraw by December 31, 2048</v>
      </c>
      <c r="C85" s="3">
        <f>(C84-C83)/3.3</f>
        <v>287.5445072000681</v>
      </c>
      <c r="E85">
        <v>107</v>
      </c>
      <c r="F85" s="6">
        <v>3.3</v>
      </c>
    </row>
    <row r="86" spans="2:6" ht="12.75">
      <c r="B86" t="str">
        <f>"Amount in account on December 31, "&amp;C5+37</f>
        <v>Amount in account on December 31, 2048</v>
      </c>
      <c r="C86" s="12">
        <f>(C84-C85)*1.05</f>
        <v>1032.647895568114</v>
      </c>
      <c r="F86" s="6"/>
    </row>
    <row r="87" spans="2:6" ht="12.75">
      <c r="B87" t="str">
        <f>"Withdraw by December 31, "&amp;C5+38</f>
        <v>Withdraw by December 31, 2049</v>
      </c>
      <c r="C87" s="3">
        <f>(C86-C85)/3.1</f>
        <v>240.35593173162775</v>
      </c>
      <c r="E87">
        <v>108</v>
      </c>
      <c r="F87" s="6">
        <v>3.1</v>
      </c>
    </row>
    <row r="88" spans="2:6" ht="12.75">
      <c r="B88" t="str">
        <f>"Amount in account on December 31, "&amp;C5+38</f>
        <v>Amount in account on December 31, 2049</v>
      </c>
      <c r="C88" s="12">
        <f>(C86-C87)*1.05</f>
        <v>831.9065620283108</v>
      </c>
      <c r="F88" s="6"/>
    </row>
    <row r="89" spans="2:6" ht="12.75">
      <c r="B89" t="str">
        <f>"Withdraw by December 31, "&amp;C5+39</f>
        <v>Withdraw by December 31, 2050</v>
      </c>
      <c r="C89" s="3">
        <f>(C88-C87)/2.8</f>
        <v>211.26808224881538</v>
      </c>
      <c r="E89">
        <v>109</v>
      </c>
      <c r="F89" s="6">
        <v>2.8</v>
      </c>
    </row>
    <row r="90" spans="2:6" ht="12.75">
      <c r="B90" t="str">
        <f>"Amount in account on December 31, "&amp;C5+39</f>
        <v>Amount in account on December 31, 2050</v>
      </c>
      <c r="C90" s="12">
        <f>(C88-C89)*1.05</f>
        <v>651.6704037684701</v>
      </c>
      <c r="F90" s="6"/>
    </row>
    <row r="91" spans="2:6" ht="12.75">
      <c r="B91" t="str">
        <f>"Withdraw by December 31, "&amp;C5+40</f>
        <v>Withdraw by December 31, 2051</v>
      </c>
      <c r="C91" s="3">
        <f>(C90-C89)/2.6</f>
        <v>169.38550827679026</v>
      </c>
      <c r="E91">
        <v>110</v>
      </c>
      <c r="F91" s="6">
        <v>2.6</v>
      </c>
    </row>
    <row r="92" spans="2:6" ht="12.75">
      <c r="B92" t="str">
        <f>"Amount in account on December 31, "&amp;C5+40</f>
        <v>Amount in account on December 31, 2051</v>
      </c>
      <c r="C92" s="12">
        <f>(C90-C91)*1.05</f>
        <v>506.3991402662639</v>
      </c>
      <c r="F92" s="6"/>
    </row>
    <row r="93" spans="2:6" ht="12.75">
      <c r="B93" t="str">
        <f>"Withdraw by December 31, "&amp;C5+41</f>
        <v>Withdraw by December 31, 2052</v>
      </c>
      <c r="C93" s="3">
        <f>(C92-C91)/2.4</f>
        <v>140.4223466622807</v>
      </c>
      <c r="E93">
        <v>111</v>
      </c>
      <c r="F93" s="6">
        <v>2.4</v>
      </c>
    </row>
    <row r="94" spans="2:6" ht="12.75">
      <c r="B94" t="str">
        <f>"Amount in account on December 31, "&amp;C5+41</f>
        <v>Amount in account on December 31, 2052</v>
      </c>
      <c r="C94" s="12">
        <f>(C92-C93)*1.05</f>
        <v>384.2756332841824</v>
      </c>
      <c r="F94" s="6"/>
    </row>
    <row r="95" spans="2:6" ht="12.75">
      <c r="B95" t="str">
        <f>"Withdraw by December 31, "&amp;C5+42</f>
        <v>Withdraw by December 31, 2053</v>
      </c>
      <c r="C95" s="3">
        <f>(C94-C93)/2.2</f>
        <v>110.8424030099553</v>
      </c>
      <c r="E95">
        <v>112</v>
      </c>
      <c r="F95" s="6">
        <v>2.2</v>
      </c>
    </row>
    <row r="96" spans="2:6" ht="12.75">
      <c r="B96" t="str">
        <f>"Amount in account on December 31, "&amp;C5+42</f>
        <v>Amount in account on December 31, 2053</v>
      </c>
      <c r="C96" s="12">
        <f>(C94-C95)*1.05</f>
        <v>287.1048917879384</v>
      </c>
      <c r="F96" s="6"/>
    </row>
    <row r="97" spans="2:6" ht="12.75">
      <c r="B97" t="str">
        <f>"Withdraw by December 31, "&amp;C5+43</f>
        <v>Withdraw by December 31, 2054</v>
      </c>
      <c r="C97" s="3">
        <f>(C96-C95)/2</f>
        <v>88.13124438899155</v>
      </c>
      <c r="E97">
        <v>113</v>
      </c>
      <c r="F97" s="6">
        <v>2</v>
      </c>
    </row>
    <row r="98" spans="2:6" ht="12.75">
      <c r="B98" t="str">
        <f>"Amount in account on December 31, "&amp;C5+43</f>
        <v>Amount in account on December 31, 2054</v>
      </c>
      <c r="C98" s="12">
        <f>(C96-C97)*1.05</f>
        <v>208.92232976889423</v>
      </c>
      <c r="F98" s="6"/>
    </row>
    <row r="99" spans="2:6" ht="12.75">
      <c r="B99" t="str">
        <f>"Withdraw by December 31, "&amp;C5+44</f>
        <v>Withdraw by December 31, 2055</v>
      </c>
      <c r="C99" s="3">
        <f>(C98-C97)/1.8</f>
        <v>67.10615854439038</v>
      </c>
      <c r="E99">
        <v>114</v>
      </c>
      <c r="F99" s="6">
        <v>1.8</v>
      </c>
    </row>
    <row r="100" ht="12.75">
      <c r="C100" s="2"/>
    </row>
    <row r="101" spans="2:3" ht="12.75">
      <c r="B101" t="s">
        <v>10</v>
      </c>
      <c r="C101" s="3"/>
    </row>
    <row r="102" spans="2:6" ht="12.75">
      <c r="B102" s="16" t="s">
        <v>15</v>
      </c>
      <c r="C102" s="16"/>
      <c r="D102" s="16"/>
      <c r="E102" s="16"/>
      <c r="F102" s="16"/>
    </row>
  </sheetData>
  <sheetProtection sheet="1" objects="1" scenarios="1"/>
  <mergeCells count="5">
    <mergeCell ref="B102:F102"/>
    <mergeCell ref="B1:F1"/>
    <mergeCell ref="C3:D3"/>
    <mergeCell ref="B2:F2"/>
    <mergeCell ref="C4:D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Whole World 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Mankind</dc:creator>
  <cp:keywords/>
  <dc:description/>
  <cp:lastModifiedBy>All Mankind</cp:lastModifiedBy>
  <cp:lastPrinted>2002-10-27T22:49:57Z</cp:lastPrinted>
  <dcterms:created xsi:type="dcterms:W3CDTF">2002-10-26T22:10:47Z</dcterms:created>
  <dcterms:modified xsi:type="dcterms:W3CDTF">2002-10-27T23:24:51Z</dcterms:modified>
  <cp:category/>
  <cp:version/>
  <cp:contentType/>
  <cp:contentStatus/>
</cp:coreProperties>
</file>